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<sst xmlns="http://schemas.openxmlformats.org/spreadsheetml/2006/main" count="92" uniqueCount="80">
  <si>
    <t>sq mi</t>
  </si>
  <si>
    <t>Size of city of Austin</t>
  </si>
  <si>
    <t>Cars per sq mile</t>
  </si>
  <si>
    <t>Car cost</t>
  </si>
  <si>
    <t>Time per ride</t>
  </si>
  <si>
    <t>Trips per hr per car</t>
  </si>
  <si>
    <t>hrs</t>
  </si>
  <si>
    <t>dollars</t>
  </si>
  <si>
    <t>people all ages</t>
  </si>
  <si>
    <t>years</t>
  </si>
  <si>
    <t>cars</t>
  </si>
  <si>
    <t>Cost per year</t>
  </si>
  <si>
    <t>Total number of Cars</t>
  </si>
  <si>
    <t>Life of car</t>
  </si>
  <si>
    <t>Driver salary</t>
  </si>
  <si>
    <t>==============</t>
  </si>
  <si>
    <t>of population</t>
  </si>
  <si>
    <t>Total car cost per yr</t>
  </si>
  <si>
    <t>Paradigm shift for mass transit.</t>
  </si>
  <si>
    <t>ASSUMPTIONS</t>
  </si>
  <si>
    <t>minutes</t>
  </si>
  <si>
    <t>TRYING DIFFERENT ASSUMPTIONS - BOLD ARE CHANGES - YOU TRY IT</t>
  </si>
  <si>
    <t>Total rides/day per person</t>
  </si>
  <si>
    <t>Population of Austin</t>
  </si>
  <si>
    <t>minivan</t>
  </si>
  <si>
    <t>Total rides per year</t>
  </si>
  <si>
    <t>Cost per ride</t>
  </si>
  <si>
    <t>Total ride time per person</t>
  </si>
  <si>
    <t>CapMetro Ridership</t>
  </si>
  <si>
    <t>=</t>
  </si>
  <si>
    <t>People in car per ride</t>
  </si>
  <si>
    <t>Total people in cars/day</t>
  </si>
  <si>
    <t>But only a certain of people will use it - see above</t>
  </si>
  <si>
    <t>EVERYBODY RIDING</t>
  </si>
  <si>
    <t>COMPUTATIONS ===================================================================</t>
  </si>
  <si>
    <t>=============</t>
  </si>
  <si>
    <t>30% UNTILZATION</t>
  </si>
  <si>
    <t>Number of riders in car/ride</t>
  </si>
  <si>
    <t>Cost of car</t>
  </si>
  <si>
    <t>Capital 2016 budget</t>
  </si>
  <si>
    <t>Ridership in Austin</t>
  </si>
  <si>
    <t>per ride</t>
  </si>
  <si>
    <t>rides to work per year</t>
  </si>
  <si>
    <t>Total cost to the public per person per day</t>
  </si>
  <si>
    <t>Miles traveled per year</t>
  </si>
  <si>
    <t>per car</t>
  </si>
  <si>
    <t>Miles traveled per day</t>
  </si>
  <si>
    <t>Cost of gas per gallon</t>
  </si>
  <si>
    <t>miles</t>
  </si>
  <si>
    <t>Average miles per gallon per car</t>
  </si>
  <si>
    <t>Gas cost per car per year</t>
  </si>
  <si>
    <t>Cost LIFT per car per year</t>
  </si>
  <si>
    <t>Cost LIFT ride-person per day</t>
  </si>
  <si>
    <t>Hire LIFT to do it (annual  cost)</t>
  </si>
  <si>
    <t>Problem: public cost will be 3 times higher</t>
  </si>
  <si>
    <t>Capital metro's current cost per ride on busses</t>
  </si>
  <si>
    <t>Annual Cost per ride</t>
  </si>
  <si>
    <t>OTHER WAYS OF LOOKING AT IT AND PROBLEMS</t>
  </si>
  <si>
    <t>estimate</t>
  </si>
  <si>
    <t>Problem: may need a new car every 2 years and reduce travel time to 49 minutes per ride</t>
  </si>
  <si>
    <t>PROBLEM: We cannot leave anybody stranded</t>
  </si>
  <si>
    <t>Incidentals</t>
  </si>
  <si>
    <t>Bearing deviation of next rider to be picked-up</t>
  </si>
  <si>
    <t>miuntes</t>
  </si>
  <si>
    <t>===========</t>
  </si>
  <si>
    <t>A 20mph car going a similar direction will be nearby</t>
  </si>
  <si>
    <t>Percent of cars taken off the road</t>
  </si>
  <si>
    <t>People per car</t>
  </si>
  <si>
    <t>In our cars</t>
  </si>
  <si>
    <t>Number of our cars per 100</t>
  </si>
  <si>
    <t>Number of other cars per 100</t>
  </si>
  <si>
    <t>Total cars on road</t>
  </si>
  <si>
    <t>Pretend like there are 100 cars on the road</t>
  </si>
  <si>
    <t>CONCULSIONS</t>
  </si>
  <si>
    <t>Austin Sales tax currently paid to bus service</t>
  </si>
  <si>
    <t>Hours of full operation distributed over 24hrs per day</t>
  </si>
  <si>
    <t>Percent people who will use it</t>
  </si>
  <si>
    <t>Total people in cars/hr</t>
  </si>
  <si>
    <t>Cost LIFT per ride-person minute</t>
  </si>
  <si>
    <t>SOLUTION: We throttle the ride wait time to be absorbed in system slack time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</si>
</sst>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_);_(@_)"/>
    <numFmt numFmtId="172" formatCode="_(&quot;$&quot;* #,##0.000_);_(&quot;$&quot;* \(#,##0.00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&quot;$&quot;* #,##0.0000_);_(&quot;$&quot;* \(#,##0.000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43" fontId="0" fillId="0" borderId="0" xfId="15" applyNumberFormat="1" applyAlignment="1">
      <alignment/>
    </xf>
    <xf numFmtId="42" fontId="0" fillId="0" borderId="0" xfId="15" applyNumberFormat="1" applyAlignment="1">
      <alignment/>
    </xf>
    <xf numFmtId="9" fontId="0" fillId="0" borderId="0" xfId="21" applyAlignment="1">
      <alignment/>
    </xf>
    <xf numFmtId="170" fontId="0" fillId="0" borderId="0" xfId="17" applyNumberForma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42" fontId="0" fillId="0" borderId="0" xfId="15" applyNumberFormat="1" applyFont="1" applyAlignment="1">
      <alignment/>
    </xf>
    <xf numFmtId="170" fontId="1" fillId="0" borderId="0" xfId="17" applyNumberFormat="1" applyFont="1" applyAlignment="1">
      <alignment/>
    </xf>
    <xf numFmtId="9" fontId="1" fillId="0" borderId="0" xfId="21" applyFont="1" applyAlignment="1">
      <alignment/>
    </xf>
    <xf numFmtId="0" fontId="2" fillId="0" borderId="0" xfId="0" applyFont="1" applyAlignment="1">
      <alignment/>
    </xf>
    <xf numFmtId="42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9" fontId="0" fillId="0" borderId="0" xfId="21" applyFont="1" applyAlignment="1">
      <alignment/>
    </xf>
    <xf numFmtId="44" fontId="0" fillId="0" borderId="0" xfId="17" applyNumberFormat="1" applyFont="1" applyAlignment="1">
      <alignment/>
    </xf>
    <xf numFmtId="44" fontId="0" fillId="0" borderId="0" xfId="17" applyAlignment="1">
      <alignment/>
    </xf>
    <xf numFmtId="165" fontId="1" fillId="0" borderId="0" xfId="15" applyNumberFormat="1" applyFont="1" applyAlignment="1" quotePrefix="1">
      <alignment/>
    </xf>
    <xf numFmtId="42" fontId="0" fillId="0" borderId="0" xfId="15" applyNumberFormat="1" applyFont="1" applyAlignment="1">
      <alignment/>
    </xf>
    <xf numFmtId="44" fontId="1" fillId="0" borderId="0" xfId="17" applyFont="1" applyAlignment="1">
      <alignment/>
    </xf>
    <xf numFmtId="0" fontId="0" fillId="0" borderId="0" xfId="15" applyNumberFormat="1" applyFont="1" applyAlignment="1">
      <alignment/>
    </xf>
    <xf numFmtId="170" fontId="0" fillId="0" borderId="0" xfId="17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Alignment="1">
      <alignment/>
    </xf>
    <xf numFmtId="43" fontId="0" fillId="0" borderId="0" xfId="15" applyFont="1" applyAlignment="1">
      <alignment/>
    </xf>
    <xf numFmtId="9" fontId="0" fillId="0" borderId="0" xfId="17" applyNumberFormat="1" applyAlignment="1">
      <alignment/>
    </xf>
    <xf numFmtId="165" fontId="1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A82" sqref="A82"/>
    </sheetView>
  </sheetViews>
  <sheetFormatPr defaultColWidth="9.140625" defaultRowHeight="12.75"/>
  <cols>
    <col min="1" max="1" width="3.140625" style="1" customWidth="1"/>
    <col min="2" max="2" width="4.8515625" style="1" customWidth="1"/>
    <col min="3" max="3" width="25.7109375" style="1" customWidth="1"/>
    <col min="4" max="4" width="16.140625" style="1" customWidth="1"/>
    <col min="5" max="5" width="13.28125" style="1" customWidth="1"/>
    <col min="6" max="6" width="13.7109375" style="1" customWidth="1"/>
    <col min="7" max="7" width="15.8515625" style="1" customWidth="1"/>
    <col min="8" max="8" width="4.8515625" style="1" customWidth="1"/>
    <col min="9" max="12" width="15.8515625" style="1" customWidth="1"/>
    <col min="13" max="13" width="17.140625" style="1" customWidth="1"/>
    <col min="14" max="14" width="2.00390625" style="1" customWidth="1"/>
    <col min="15" max="15" width="3.28125" style="1" customWidth="1"/>
    <col min="16" max="16" width="4.7109375" style="1" customWidth="1"/>
    <col min="17" max="16384" width="15.8515625" style="1" customWidth="1"/>
  </cols>
  <sheetData>
    <row r="1" ht="15.75">
      <c r="A1" s="13" t="s">
        <v>18</v>
      </c>
    </row>
    <row r="3" spans="1:16" ht="12.75">
      <c r="A3" s="8" t="s">
        <v>19</v>
      </c>
      <c r="E3" s="8" t="s">
        <v>36</v>
      </c>
      <c r="G3" s="15" t="s">
        <v>33</v>
      </c>
      <c r="H3" s="15"/>
      <c r="I3" s="8" t="s">
        <v>21</v>
      </c>
      <c r="M3" s="28" t="s">
        <v>28</v>
      </c>
      <c r="N3" s="28"/>
      <c r="O3" s="28"/>
      <c r="P3" s="28"/>
    </row>
    <row r="4" spans="1:13" ht="12.75">
      <c r="A4" s="1" t="s">
        <v>1</v>
      </c>
      <c r="E4" s="1">
        <v>271.8</v>
      </c>
      <c r="F4" s="1" t="s">
        <v>0</v>
      </c>
      <c r="G4" s="1">
        <f>E4</f>
        <v>271.8</v>
      </c>
      <c r="I4" s="1">
        <f>G4</f>
        <v>271.8</v>
      </c>
      <c r="J4" s="1">
        <f aca="true" t="shared" si="0" ref="J4:M5">I4</f>
        <v>271.8</v>
      </c>
      <c r="K4" s="1">
        <f t="shared" si="0"/>
        <v>271.8</v>
      </c>
      <c r="L4" s="1">
        <f t="shared" si="0"/>
        <v>271.8</v>
      </c>
      <c r="M4" s="1">
        <f t="shared" si="0"/>
        <v>271.8</v>
      </c>
    </row>
    <row r="5" spans="1:13" ht="12.75">
      <c r="A5" s="2" t="s">
        <v>23</v>
      </c>
      <c r="E5" s="1">
        <v>885400</v>
      </c>
      <c r="F5" s="2" t="s">
        <v>8</v>
      </c>
      <c r="G5" s="1">
        <f>E5</f>
        <v>885400</v>
      </c>
      <c r="I5" s="1">
        <f>G5</f>
        <v>885400</v>
      </c>
      <c r="J5" s="1">
        <f t="shared" si="0"/>
        <v>885400</v>
      </c>
      <c r="K5" s="1">
        <f t="shared" si="0"/>
        <v>885400</v>
      </c>
      <c r="L5" s="1">
        <f t="shared" si="0"/>
        <v>885400</v>
      </c>
      <c r="M5" s="1">
        <f t="shared" si="0"/>
        <v>885400</v>
      </c>
    </row>
    <row r="6" spans="1:16" ht="12.75">
      <c r="A6" s="2" t="s">
        <v>74</v>
      </c>
      <c r="B6" s="2"/>
      <c r="C6" s="2"/>
      <c r="E6" s="7">
        <v>200000000</v>
      </c>
      <c r="F6" s="2" t="s">
        <v>7</v>
      </c>
      <c r="G6" s="7">
        <v>200000000</v>
      </c>
      <c r="H6" s="7"/>
      <c r="I6" s="11">
        <v>357000000</v>
      </c>
      <c r="J6" s="11">
        <v>80000000</v>
      </c>
      <c r="K6" s="7">
        <v>200000000</v>
      </c>
      <c r="L6" s="7">
        <f>K6</f>
        <v>200000000</v>
      </c>
      <c r="M6" s="7">
        <f>L6</f>
        <v>200000000</v>
      </c>
      <c r="N6" s="7"/>
      <c r="O6" s="7"/>
      <c r="P6" s="7"/>
    </row>
    <row r="7" spans="1:16" ht="12.75">
      <c r="A7" s="2" t="s">
        <v>75</v>
      </c>
      <c r="E7" s="2">
        <v>10</v>
      </c>
      <c r="F7" s="2" t="s">
        <v>6</v>
      </c>
      <c r="G7" s="2">
        <v>10</v>
      </c>
      <c r="H7" s="2"/>
      <c r="I7" s="2">
        <v>10</v>
      </c>
      <c r="J7" s="2">
        <v>10</v>
      </c>
      <c r="K7" s="2">
        <v>10</v>
      </c>
      <c r="L7" s="2">
        <v>10</v>
      </c>
      <c r="M7" s="9">
        <v>10</v>
      </c>
      <c r="N7" s="9"/>
      <c r="O7" s="9"/>
      <c r="P7" s="9"/>
    </row>
    <row r="8" spans="1:13" ht="12.75">
      <c r="A8" s="2" t="s">
        <v>4</v>
      </c>
      <c r="E8" s="1">
        <v>10</v>
      </c>
      <c r="F8" s="2" t="s">
        <v>20</v>
      </c>
      <c r="G8" s="1">
        <v>10</v>
      </c>
      <c r="I8" s="9">
        <v>10</v>
      </c>
      <c r="J8" s="1">
        <v>10</v>
      </c>
      <c r="K8" s="1">
        <v>10</v>
      </c>
      <c r="L8" s="1">
        <v>10</v>
      </c>
      <c r="M8" s="1">
        <v>10</v>
      </c>
    </row>
    <row r="9" spans="1:6" ht="12.75">
      <c r="A9" s="2"/>
      <c r="F9" s="2"/>
    </row>
    <row r="10" spans="1:13" ht="12.75">
      <c r="A10" s="2" t="s">
        <v>37</v>
      </c>
      <c r="E10" s="1">
        <v>7</v>
      </c>
      <c r="F10" s="2"/>
      <c r="G10" s="1">
        <v>7</v>
      </c>
      <c r="I10" s="1">
        <v>7</v>
      </c>
      <c r="J10" s="1">
        <v>7</v>
      </c>
      <c r="K10" s="9">
        <v>7</v>
      </c>
      <c r="L10" s="1">
        <v>7</v>
      </c>
      <c r="M10" s="1">
        <v>7</v>
      </c>
    </row>
    <row r="11" spans="1:16" ht="12.75">
      <c r="A11" s="2" t="s">
        <v>76</v>
      </c>
      <c r="E11" s="12">
        <v>0.3</v>
      </c>
      <c r="F11" s="2" t="s">
        <v>16</v>
      </c>
      <c r="G11" s="12">
        <v>1</v>
      </c>
      <c r="H11" s="12"/>
      <c r="I11" s="6">
        <v>0.3</v>
      </c>
      <c r="J11" s="16">
        <v>0.3</v>
      </c>
      <c r="K11" s="12">
        <v>0.7</v>
      </c>
      <c r="L11" s="12">
        <v>0.5</v>
      </c>
      <c r="M11" s="12">
        <v>0.05</v>
      </c>
      <c r="N11" s="12"/>
      <c r="O11" s="12"/>
      <c r="P11" s="12"/>
    </row>
    <row r="12" spans="1:16" ht="12.75">
      <c r="A12" s="2"/>
      <c r="E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3" ht="12.75">
      <c r="A13" s="2" t="s">
        <v>38</v>
      </c>
      <c r="B13" s="2"/>
      <c r="C13" s="2"/>
    </row>
    <row r="14" spans="3:16" ht="12.75">
      <c r="C14" s="2" t="s">
        <v>3</v>
      </c>
      <c r="D14" s="5">
        <v>30000</v>
      </c>
      <c r="E14" s="10" t="s">
        <v>24</v>
      </c>
      <c r="G14" s="20">
        <v>30000</v>
      </c>
      <c r="H14" s="14"/>
      <c r="I14" s="14">
        <f>G14</f>
        <v>30000</v>
      </c>
      <c r="J14" s="14">
        <f aca="true" t="shared" si="1" ref="J14:M15">I14</f>
        <v>30000</v>
      </c>
      <c r="K14" s="14">
        <v>30000</v>
      </c>
      <c r="L14" s="14">
        <f t="shared" si="1"/>
        <v>30000</v>
      </c>
      <c r="M14" s="14">
        <f t="shared" si="1"/>
        <v>30000</v>
      </c>
      <c r="N14" s="14"/>
      <c r="O14" s="14"/>
      <c r="P14" s="14"/>
    </row>
    <row r="15" spans="3:13" ht="12.75">
      <c r="C15" s="2" t="s">
        <v>13</v>
      </c>
      <c r="D15" s="2">
        <v>10</v>
      </c>
      <c r="E15" s="10" t="s">
        <v>9</v>
      </c>
      <c r="F15" s="2"/>
      <c r="G15" s="2">
        <f>D15</f>
        <v>10</v>
      </c>
      <c r="H15" s="2"/>
      <c r="I15" s="1">
        <f>G15</f>
        <v>10</v>
      </c>
      <c r="J15" s="1">
        <f t="shared" si="1"/>
        <v>10</v>
      </c>
      <c r="K15" s="1">
        <f t="shared" si="1"/>
        <v>10</v>
      </c>
      <c r="L15" s="1">
        <f t="shared" si="1"/>
        <v>10</v>
      </c>
      <c r="M15" s="1">
        <f t="shared" si="1"/>
        <v>10</v>
      </c>
    </row>
    <row r="16" spans="3:8" ht="12.75">
      <c r="C16" s="2"/>
      <c r="D16" s="3" t="s">
        <v>35</v>
      </c>
      <c r="E16" s="10"/>
      <c r="F16" s="2"/>
      <c r="G16" s="2"/>
      <c r="H16" s="2"/>
    </row>
    <row r="17" spans="2:16" ht="12.75">
      <c r="B17" s="2" t="s">
        <v>11</v>
      </c>
      <c r="E17" s="5">
        <f>D14/D15</f>
        <v>3000</v>
      </c>
      <c r="F17" s="2"/>
      <c r="G17" s="5">
        <f>G14/G15</f>
        <v>3000</v>
      </c>
      <c r="H17" s="5"/>
      <c r="I17" s="5">
        <f>I14/I15</f>
        <v>3000</v>
      </c>
      <c r="J17" s="5">
        <f>J14/J15</f>
        <v>3000</v>
      </c>
      <c r="K17" s="5">
        <f>K14/K15</f>
        <v>3000</v>
      </c>
      <c r="L17" s="5">
        <f>L14/L15</f>
        <v>3000</v>
      </c>
      <c r="M17" s="5">
        <f>M14/M15</f>
        <v>3000</v>
      </c>
      <c r="N17" s="5"/>
      <c r="O17" s="5"/>
      <c r="P17" s="5"/>
    </row>
    <row r="18" spans="2:16" ht="12.75">
      <c r="B18" s="2" t="s">
        <v>14</v>
      </c>
      <c r="C18" s="2"/>
      <c r="E18" s="5">
        <v>30000</v>
      </c>
      <c r="G18" s="5">
        <v>30000</v>
      </c>
      <c r="H18" s="5"/>
      <c r="I18" s="5">
        <v>30000</v>
      </c>
      <c r="J18" s="5">
        <v>30000</v>
      </c>
      <c r="K18" s="5">
        <v>30000</v>
      </c>
      <c r="L18" s="5">
        <v>30000</v>
      </c>
      <c r="M18" s="5">
        <v>30000</v>
      </c>
      <c r="N18" s="5"/>
      <c r="O18" s="5"/>
      <c r="P18" s="5"/>
    </row>
    <row r="19" spans="2:16" ht="12.75">
      <c r="B19" s="2" t="s">
        <v>61</v>
      </c>
      <c r="C19" s="2"/>
      <c r="E19" s="5">
        <v>20000</v>
      </c>
      <c r="G19" s="5">
        <v>20000</v>
      </c>
      <c r="H19" s="5"/>
      <c r="I19" s="5">
        <v>20000</v>
      </c>
      <c r="J19" s="5">
        <v>20000</v>
      </c>
      <c r="K19" s="5">
        <v>20000</v>
      </c>
      <c r="L19" s="5">
        <v>20000</v>
      </c>
      <c r="M19" s="5">
        <v>20000</v>
      </c>
      <c r="N19" s="5"/>
      <c r="O19" s="5"/>
      <c r="P19" s="5"/>
    </row>
    <row r="20" spans="5:16" ht="12.75">
      <c r="E20" s="3" t="s">
        <v>64</v>
      </c>
      <c r="G20" s="3" t="s">
        <v>35</v>
      </c>
      <c r="H20" s="3"/>
      <c r="I20" s="3" t="s">
        <v>15</v>
      </c>
      <c r="J20" s="3" t="s">
        <v>15</v>
      </c>
      <c r="K20" s="3" t="s">
        <v>15</v>
      </c>
      <c r="L20" s="3" t="s">
        <v>15</v>
      </c>
      <c r="M20" s="3" t="s">
        <v>15</v>
      </c>
      <c r="N20" s="3"/>
      <c r="O20" s="3"/>
      <c r="P20" s="3"/>
    </row>
    <row r="21" spans="1:16" ht="12.75">
      <c r="A21" s="2" t="s">
        <v>17</v>
      </c>
      <c r="E21" s="5">
        <f>SUM(E17:E20)</f>
        <v>53000</v>
      </c>
      <c r="F21" s="2" t="s">
        <v>7</v>
      </c>
      <c r="G21" s="5">
        <f aca="true" t="shared" si="2" ref="G21:M21">SUM(G17:G20)</f>
        <v>53000</v>
      </c>
      <c r="H21" s="5"/>
      <c r="I21" s="5">
        <f t="shared" si="2"/>
        <v>53000</v>
      </c>
      <c r="J21" s="5">
        <f t="shared" si="2"/>
        <v>53000</v>
      </c>
      <c r="K21" s="5">
        <f t="shared" si="2"/>
        <v>53000</v>
      </c>
      <c r="L21" s="5">
        <f t="shared" si="2"/>
        <v>53000</v>
      </c>
      <c r="M21" s="5">
        <f t="shared" si="2"/>
        <v>53000</v>
      </c>
      <c r="N21" s="5"/>
      <c r="O21" s="5"/>
      <c r="P21" s="5"/>
    </row>
    <row r="22" spans="1:13" ht="12.75">
      <c r="A22" s="2" t="s">
        <v>12</v>
      </c>
      <c r="B22" s="2"/>
      <c r="C22" s="2"/>
      <c r="E22" s="1">
        <f>E6/E21</f>
        <v>3773.5849056603774</v>
      </c>
      <c r="F22" s="2" t="s">
        <v>10</v>
      </c>
      <c r="G22" s="1">
        <f>G6/G21</f>
        <v>3773.5849056603774</v>
      </c>
      <c r="I22" s="1">
        <f>I6/I21</f>
        <v>6735.8490566037735</v>
      </c>
      <c r="J22" s="1">
        <f>J6/J21</f>
        <v>1509.433962264151</v>
      </c>
      <c r="K22" s="1">
        <f>K6/K21</f>
        <v>3773.5849056603774</v>
      </c>
      <c r="L22" s="1">
        <f>L6/L21</f>
        <v>3773.5849056603774</v>
      </c>
      <c r="M22" s="1">
        <f>M6/M21</f>
        <v>3773.5849056603774</v>
      </c>
    </row>
    <row r="23" spans="1:6" ht="12.75">
      <c r="A23" s="2"/>
      <c r="B23" s="2"/>
      <c r="C23" s="2"/>
      <c r="F23" s="2"/>
    </row>
    <row r="24" spans="1:13" ht="12.75">
      <c r="A24" s="2" t="s">
        <v>62</v>
      </c>
      <c r="B24" s="2"/>
      <c r="C24" s="2"/>
      <c r="E24" s="6">
        <v>0.25</v>
      </c>
      <c r="F24" s="2"/>
      <c r="G24" s="6">
        <v>0.25</v>
      </c>
      <c r="I24" s="6">
        <v>0.25</v>
      </c>
      <c r="J24" s="6">
        <v>0.25</v>
      </c>
      <c r="K24" s="6">
        <v>0.25</v>
      </c>
      <c r="L24" s="6">
        <v>0.25</v>
      </c>
      <c r="M24" s="6">
        <v>0.25</v>
      </c>
    </row>
    <row r="25" spans="1:13" ht="12.75">
      <c r="A25" s="2"/>
      <c r="B25" s="2"/>
      <c r="C25" s="2"/>
      <c r="E25" s="6"/>
      <c r="F25" s="2"/>
      <c r="G25" s="6"/>
      <c r="I25" s="6"/>
      <c r="J25" s="6"/>
      <c r="K25" s="6"/>
      <c r="L25" s="6"/>
      <c r="M25" s="6"/>
    </row>
    <row r="26" spans="1:6" ht="12.75">
      <c r="A26" s="8" t="s">
        <v>73</v>
      </c>
      <c r="B26" s="2"/>
      <c r="C26" s="2"/>
      <c r="F26" s="2"/>
    </row>
    <row r="27" spans="1:16" ht="12.75">
      <c r="A27" s="8" t="str">
        <f>A45</f>
        <v>Total rides/day per person</v>
      </c>
      <c r="B27" s="8"/>
      <c r="C27" s="8"/>
      <c r="D27" s="8"/>
      <c r="E27" s="8">
        <f>E45</f>
        <v>5.966815979133193</v>
      </c>
      <c r="F27" s="8"/>
      <c r="G27" s="8">
        <f>G45</f>
        <v>1.7900447937399577</v>
      </c>
      <c r="H27" s="8"/>
      <c r="I27" s="8">
        <f aca="true" t="shared" si="3" ref="I27:M28">I45</f>
        <v>10.650766522752749</v>
      </c>
      <c r="J27" s="8">
        <f t="shared" si="3"/>
        <v>2.386726391653277</v>
      </c>
      <c r="K27" s="8">
        <f t="shared" si="3"/>
        <v>2.5572068481999395</v>
      </c>
      <c r="L27" s="8">
        <f t="shared" si="3"/>
        <v>3.5800895874799155</v>
      </c>
      <c r="M27" s="8">
        <f t="shared" si="3"/>
        <v>35.80089587479915</v>
      </c>
      <c r="N27" s="8"/>
      <c r="O27" s="8"/>
      <c r="P27" s="8"/>
    </row>
    <row r="28" spans="1:16" ht="12.75">
      <c r="A28" s="8" t="str">
        <f>A46</f>
        <v>Total ride time per person</v>
      </c>
      <c r="B28" s="8"/>
      <c r="C28" s="8"/>
      <c r="D28" s="8"/>
      <c r="E28" s="8">
        <f>E46</f>
        <v>59.66815979133193</v>
      </c>
      <c r="F28" s="9" t="str">
        <f>+F46</f>
        <v>minutes</v>
      </c>
      <c r="G28" s="8">
        <f>G46</f>
        <v>17.900447937399576</v>
      </c>
      <c r="H28" s="8"/>
      <c r="I28" s="8">
        <f t="shared" si="3"/>
        <v>106.50766522752748</v>
      </c>
      <c r="J28" s="8">
        <f t="shared" si="3"/>
        <v>23.867263916532767</v>
      </c>
      <c r="K28" s="8">
        <f t="shared" si="3"/>
        <v>25.572068481999395</v>
      </c>
      <c r="L28" s="8">
        <f t="shared" si="3"/>
        <v>35.80089587479915</v>
      </c>
      <c r="M28" s="8">
        <f t="shared" si="3"/>
        <v>358.0089587479915</v>
      </c>
      <c r="N28" s="19" t="s">
        <v>29</v>
      </c>
      <c r="O28" s="8">
        <f>M28/60</f>
        <v>5.966815979133192</v>
      </c>
      <c r="P28" s="8" t="s">
        <v>6</v>
      </c>
    </row>
    <row r="29" spans="1:16" ht="12.75">
      <c r="A29" s="8" t="str">
        <f>A37</f>
        <v>A 20mph car going a similar direction will be nearby</v>
      </c>
      <c r="B29" s="8"/>
      <c r="C29" s="8"/>
      <c r="D29" s="8"/>
      <c r="E29" s="8">
        <f>+E37</f>
        <v>0.8643240000000001</v>
      </c>
      <c r="F29" s="9" t="s">
        <v>63</v>
      </c>
      <c r="G29" s="8">
        <f>+G37</f>
        <v>0.8643240000000001</v>
      </c>
      <c r="H29" s="8"/>
      <c r="I29" s="24">
        <f>+I37</f>
        <v>0.48421512605042016</v>
      </c>
      <c r="J29" s="8">
        <f>+J37</f>
        <v>2.1608099999999997</v>
      </c>
      <c r="K29" s="8">
        <f>+K37</f>
        <v>0.8643240000000001</v>
      </c>
      <c r="L29" s="8">
        <f>+L37</f>
        <v>0.8643240000000001</v>
      </c>
      <c r="M29" s="8">
        <f>M37/M24/60</f>
        <v>0.8643240000000001</v>
      </c>
      <c r="N29" s="8"/>
      <c r="O29" s="8"/>
      <c r="P29" s="8"/>
    </row>
    <row r="30" spans="1:16" ht="12.75">
      <c r="A30" s="8" t="str">
        <f>+A58</f>
        <v>Percent of cars taken off the road</v>
      </c>
      <c r="B30" s="8"/>
      <c r="C30" s="8"/>
      <c r="D30" s="8"/>
      <c r="E30" s="12">
        <f>+E58</f>
        <v>0.2485714285714286</v>
      </c>
      <c r="F30" s="9"/>
      <c r="G30" s="8"/>
      <c r="H30" s="8"/>
      <c r="I30" s="24"/>
      <c r="J30" s="8"/>
      <c r="K30" s="8"/>
      <c r="L30" s="8"/>
      <c r="M30" s="8"/>
      <c r="N30" s="8"/>
      <c r="O30" s="8"/>
      <c r="P30" s="8"/>
    </row>
    <row r="31" spans="1:13" ht="12.75">
      <c r="A31" s="8" t="str">
        <f>+A50</f>
        <v>Total cost to the public per person per day</v>
      </c>
      <c r="B31" s="8"/>
      <c r="C31" s="8"/>
      <c r="D31" s="8"/>
      <c r="E31" s="21">
        <f aca="true" t="shared" si="4" ref="E31:M31">+E50</f>
        <v>2.0628913691719455</v>
      </c>
      <c r="F31" s="2">
        <f t="shared" si="4"/>
        <v>0</v>
      </c>
      <c r="G31" s="21">
        <f t="shared" si="4"/>
        <v>0.6188674107515836</v>
      </c>
      <c r="I31" s="21">
        <f t="shared" si="4"/>
        <v>3.682261093971922</v>
      </c>
      <c r="J31" s="21">
        <f t="shared" si="4"/>
        <v>0.825156547668778</v>
      </c>
      <c r="K31" s="21">
        <f t="shared" si="4"/>
        <v>0.8840963010736909</v>
      </c>
      <c r="L31" s="21">
        <f t="shared" si="4"/>
        <v>1.2377348215031672</v>
      </c>
      <c r="M31" s="21">
        <f t="shared" si="4"/>
        <v>12.377348215031672</v>
      </c>
    </row>
    <row r="32" spans="1:5" ht="12.75">
      <c r="A32" s="8" t="str">
        <f>+A64</f>
        <v>Capital metro's current cost per ride on busses</v>
      </c>
      <c r="E32" s="21">
        <f>+E64</f>
        <v>22.09356656383153</v>
      </c>
    </row>
    <row r="33" ht="12.75">
      <c r="E33" s="18"/>
    </row>
    <row r="35" ht="12.75">
      <c r="A35" s="8" t="s">
        <v>34</v>
      </c>
    </row>
    <row r="36" spans="1:16" ht="12.75">
      <c r="A36" s="2" t="s">
        <v>2</v>
      </c>
      <c r="B36" s="2"/>
      <c r="C36" s="2"/>
      <c r="E36" s="4">
        <f>E4/E22</f>
        <v>0.07202700000000001</v>
      </c>
      <c r="F36" s="2" t="s">
        <v>0</v>
      </c>
      <c r="G36" s="4">
        <f>G4/G22</f>
        <v>0.07202700000000001</v>
      </c>
      <c r="H36" s="4"/>
      <c r="I36" s="4">
        <f>I4/I22</f>
        <v>0.04035126050420168</v>
      </c>
      <c r="J36" s="4">
        <f>J4/J22</f>
        <v>0.1800675</v>
      </c>
      <c r="K36" s="4">
        <f>K4/K22</f>
        <v>0.07202700000000001</v>
      </c>
      <c r="L36" s="4">
        <f>L4/L22</f>
        <v>0.07202700000000001</v>
      </c>
      <c r="M36" s="4">
        <f>M4/M22</f>
        <v>0.07202700000000001</v>
      </c>
      <c r="N36" s="4"/>
      <c r="O36" s="4"/>
      <c r="P36" s="4"/>
    </row>
    <row r="37" spans="1:17" ht="12.75">
      <c r="A37" s="2" t="s">
        <v>65</v>
      </c>
      <c r="C37" s="2"/>
      <c r="D37" s="2"/>
      <c r="E37" s="1">
        <f>E36/20*60/E24</f>
        <v>0.8643240000000001</v>
      </c>
      <c r="F37" s="2" t="s">
        <v>20</v>
      </c>
      <c r="G37" s="1">
        <f>G36/20*60/G24</f>
        <v>0.8643240000000001</v>
      </c>
      <c r="I37" s="1">
        <f>I36/20*60/I24</f>
        <v>0.48421512605042016</v>
      </c>
      <c r="J37" s="1">
        <f>J36/20*60/J24</f>
        <v>2.1608099999999997</v>
      </c>
      <c r="K37" s="1">
        <f>K36/20*60/K24</f>
        <v>0.8643240000000001</v>
      </c>
      <c r="L37" s="1">
        <f>L36/20*60/L24</f>
        <v>0.8643240000000001</v>
      </c>
      <c r="M37" s="1">
        <f>M36/20*60*60</f>
        <v>12.964860000000002</v>
      </c>
      <c r="Q37" s="22"/>
    </row>
    <row r="39" spans="1:13" ht="12.75">
      <c r="A39" s="2" t="s">
        <v>5</v>
      </c>
      <c r="E39" s="1">
        <f>60/E8</f>
        <v>6</v>
      </c>
      <c r="F39" s="2"/>
      <c r="G39" s="1">
        <f>60/G8</f>
        <v>6</v>
      </c>
      <c r="I39" s="1">
        <f>60/I8</f>
        <v>6</v>
      </c>
      <c r="J39" s="1">
        <f>60/J8</f>
        <v>6</v>
      </c>
      <c r="K39" s="1">
        <f>60/K8</f>
        <v>6</v>
      </c>
      <c r="L39" s="1">
        <f>60/L8</f>
        <v>6</v>
      </c>
      <c r="M39" s="1">
        <f>60/M8</f>
        <v>6</v>
      </c>
    </row>
    <row r="40" spans="1:16" ht="12.75">
      <c r="A40" s="2" t="s">
        <v>30</v>
      </c>
      <c r="E40" s="2">
        <f>E39*E10</f>
        <v>42</v>
      </c>
      <c r="G40" s="2">
        <f>G39*G10</f>
        <v>42</v>
      </c>
      <c r="H40" s="2"/>
      <c r="I40" s="2">
        <f>I39*I10</f>
        <v>42</v>
      </c>
      <c r="J40" s="2">
        <f>J39*J10</f>
        <v>42</v>
      </c>
      <c r="K40" s="2">
        <f>K39*K10</f>
        <v>42</v>
      </c>
      <c r="L40" s="2">
        <f>L39*L10</f>
        <v>42</v>
      </c>
      <c r="M40" s="2">
        <f>M39*M10</f>
        <v>42</v>
      </c>
      <c r="N40" s="2"/>
      <c r="O40" s="2"/>
      <c r="P40" s="2"/>
    </row>
    <row r="41" spans="1:13" ht="12.75">
      <c r="A41" s="2" t="s">
        <v>77</v>
      </c>
      <c r="E41" s="1">
        <f>E40*E22</f>
        <v>158490.56603773584</v>
      </c>
      <c r="F41" s="2"/>
      <c r="G41" s="1">
        <f>G40*G22</f>
        <v>158490.56603773584</v>
      </c>
      <c r="I41" s="1">
        <f>I40*I22</f>
        <v>282905.6603773585</v>
      </c>
      <c r="J41" s="1">
        <f>J40*J22</f>
        <v>63396.22641509434</v>
      </c>
      <c r="K41" s="1">
        <f>K40*K22</f>
        <v>158490.56603773584</v>
      </c>
      <c r="L41" s="1">
        <f>L40*L22</f>
        <v>158490.56603773584</v>
      </c>
      <c r="M41" s="1">
        <f>M40*M22</f>
        <v>158490.56603773584</v>
      </c>
    </row>
    <row r="42" spans="1:13" ht="12.75">
      <c r="A42" s="2" t="s">
        <v>31</v>
      </c>
      <c r="E42" s="1">
        <f>E7*E41</f>
        <v>1584905.6603773586</v>
      </c>
      <c r="G42" s="1">
        <f>G7*G41</f>
        <v>1584905.6603773586</v>
      </c>
      <c r="I42" s="1">
        <f>I7*I41</f>
        <v>2829056.603773585</v>
      </c>
      <c r="J42" s="1">
        <f>J7*J41</f>
        <v>633962.2641509434</v>
      </c>
      <c r="K42" s="1">
        <f>K7*K41</f>
        <v>1584905.6603773586</v>
      </c>
      <c r="L42" s="1">
        <f>L7*L41</f>
        <v>1584905.6603773586</v>
      </c>
      <c r="M42" s="1">
        <f>M7*M41</f>
        <v>1584905.6603773586</v>
      </c>
    </row>
    <row r="43" ht="12.75">
      <c r="A43" s="2"/>
    </row>
    <row r="44" spans="1:13" ht="12.75">
      <c r="A44" s="2" t="s">
        <v>32</v>
      </c>
      <c r="B44" s="2"/>
      <c r="C44" s="2"/>
      <c r="E44" s="1">
        <f>E11*E5</f>
        <v>265620</v>
      </c>
      <c r="G44" s="1">
        <f>G11*G5</f>
        <v>885400</v>
      </c>
      <c r="I44" s="1">
        <f>I11*I5</f>
        <v>265620</v>
      </c>
      <c r="J44" s="1">
        <f>J11*J5</f>
        <v>265620</v>
      </c>
      <c r="K44" s="1">
        <f>K11*K5</f>
        <v>619780</v>
      </c>
      <c r="L44" s="1">
        <f>L11*L5</f>
        <v>442700</v>
      </c>
      <c r="M44" s="1">
        <f>M11*M5</f>
        <v>44270</v>
      </c>
    </row>
    <row r="45" spans="1:13" ht="12.75">
      <c r="A45" s="2" t="s">
        <v>22</v>
      </c>
      <c r="E45" s="1">
        <f>E42/E44</f>
        <v>5.966815979133193</v>
      </c>
      <c r="G45" s="1">
        <f>G42/G44</f>
        <v>1.7900447937399577</v>
      </c>
      <c r="I45" s="1">
        <f>I42/I44</f>
        <v>10.650766522752749</v>
      </c>
      <c r="J45" s="1">
        <f>J42/J44</f>
        <v>2.386726391653277</v>
      </c>
      <c r="K45" s="1">
        <f>K42/K44</f>
        <v>2.5572068481999395</v>
      </c>
      <c r="L45" s="1">
        <f>L42/L44</f>
        <v>3.5800895874799155</v>
      </c>
      <c r="M45" s="1">
        <f>M42/M44</f>
        <v>35.80089587479915</v>
      </c>
    </row>
    <row r="46" spans="1:13" ht="12.75">
      <c r="A46" s="2" t="s">
        <v>27</v>
      </c>
      <c r="E46" s="1">
        <f>E45*E8</f>
        <v>59.66815979133193</v>
      </c>
      <c r="F46" s="2" t="s">
        <v>20</v>
      </c>
      <c r="G46" s="1">
        <f aca="true" t="shared" si="5" ref="G46:M46">G45*G8</f>
        <v>17.900447937399576</v>
      </c>
      <c r="I46" s="1">
        <f t="shared" si="5"/>
        <v>106.50766522752748</v>
      </c>
      <c r="J46" s="1">
        <f t="shared" si="5"/>
        <v>23.867263916532767</v>
      </c>
      <c r="K46" s="1">
        <f t="shared" si="5"/>
        <v>25.572068481999395</v>
      </c>
      <c r="L46" s="1">
        <f t="shared" si="5"/>
        <v>35.80089587479915</v>
      </c>
      <c r="M46" s="1">
        <f t="shared" si="5"/>
        <v>358.0089587479915</v>
      </c>
    </row>
    <row r="47" spans="1:8" ht="12.75">
      <c r="A47" s="2"/>
      <c r="D47" s="2"/>
      <c r="E47" s="17"/>
      <c r="F47" s="2"/>
      <c r="G47" s="2"/>
      <c r="H47" s="2"/>
    </row>
    <row r="48" spans="1:13" ht="12.75">
      <c r="A48" s="2" t="s">
        <v>25</v>
      </c>
      <c r="E48" s="1">
        <f>E42*365</f>
        <v>578490566.0377358</v>
      </c>
      <c r="G48" s="1">
        <f>G42*365</f>
        <v>578490566.0377358</v>
      </c>
      <c r="I48" s="1">
        <f>I42*365</f>
        <v>1032605660.3773586</v>
      </c>
      <c r="J48" s="1">
        <f>J42*365</f>
        <v>231396226.41509435</v>
      </c>
      <c r="K48" s="1">
        <f>K42*365</f>
        <v>578490566.0377358</v>
      </c>
      <c r="L48" s="1">
        <f>L42*365</f>
        <v>578490566.0377358</v>
      </c>
      <c r="M48" s="1">
        <f>M42*365</f>
        <v>578490566.0377358</v>
      </c>
    </row>
    <row r="49" spans="1:16" ht="12.75">
      <c r="A49" s="2" t="s">
        <v>26</v>
      </c>
      <c r="E49" s="18">
        <f>E6/E48</f>
        <v>0.34572733202870193</v>
      </c>
      <c r="G49" s="18">
        <f aca="true" t="shared" si="6" ref="G49:M49">G6/G48</f>
        <v>0.34572733202870193</v>
      </c>
      <c r="H49" s="18"/>
      <c r="I49" s="18">
        <f t="shared" si="6"/>
        <v>0.3457273320287019</v>
      </c>
      <c r="J49" s="18">
        <f t="shared" si="6"/>
        <v>0.3457273320287019</v>
      </c>
      <c r="K49" s="18">
        <f t="shared" si="6"/>
        <v>0.34572733202870193</v>
      </c>
      <c r="L49" s="18">
        <f t="shared" si="6"/>
        <v>0.34572733202870193</v>
      </c>
      <c r="M49" s="18">
        <f t="shared" si="6"/>
        <v>0.34572733202870193</v>
      </c>
      <c r="N49" s="18"/>
      <c r="O49" s="18"/>
      <c r="P49" s="18"/>
    </row>
    <row r="50" spans="1:16" ht="12.75">
      <c r="A50" s="2" t="s">
        <v>43</v>
      </c>
      <c r="E50" s="18">
        <f>E45*E49</f>
        <v>2.0628913691719455</v>
      </c>
      <c r="G50" s="18">
        <f aca="true" t="shared" si="7" ref="G50:M50">G45*G49</f>
        <v>0.6188674107515836</v>
      </c>
      <c r="H50" s="18"/>
      <c r="I50" s="18">
        <f t="shared" si="7"/>
        <v>3.682261093971922</v>
      </c>
      <c r="J50" s="18">
        <f t="shared" si="7"/>
        <v>0.825156547668778</v>
      </c>
      <c r="K50" s="18">
        <f t="shared" si="7"/>
        <v>0.8840963010736909</v>
      </c>
      <c r="L50" s="18">
        <f t="shared" si="7"/>
        <v>1.2377348215031672</v>
      </c>
      <c r="M50" s="18">
        <f t="shared" si="7"/>
        <v>12.377348215031672</v>
      </c>
      <c r="N50" s="18"/>
      <c r="O50" s="18"/>
      <c r="P50" s="18"/>
    </row>
    <row r="51" spans="1:16" ht="12.75">
      <c r="A51" s="2"/>
      <c r="E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2" t="s">
        <v>72</v>
      </c>
      <c r="C52" s="26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2" t="s">
        <v>67</v>
      </c>
      <c r="C53" s="26"/>
      <c r="E53" s="25">
        <v>1.2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2" t="s">
        <v>68</v>
      </c>
      <c r="C54" s="26"/>
      <c r="E54" s="27">
        <f>E11</f>
        <v>0.3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75">
      <c r="A55" s="2" t="s">
        <v>69</v>
      </c>
      <c r="C55" s="26"/>
      <c r="E55" s="1">
        <f>E54*E53/E10*100</f>
        <v>5.142857142857142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2.75">
      <c r="A56" s="2" t="s">
        <v>70</v>
      </c>
      <c r="C56" s="26"/>
      <c r="E56" s="1">
        <f>(1-E54)*100</f>
        <v>70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.75">
      <c r="A57" s="2" t="s">
        <v>71</v>
      </c>
      <c r="C57" s="26"/>
      <c r="E57" s="9">
        <f>E56+E55</f>
        <v>75.14285714285714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2" t="s">
        <v>66</v>
      </c>
      <c r="C58" s="26"/>
      <c r="E58" s="16">
        <f>(100-E57)/100</f>
        <v>0.2485714285714286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2.75">
      <c r="A59" s="2"/>
      <c r="F59" s="2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ht="12.75">
      <c r="A60" s="8" t="s">
        <v>57</v>
      </c>
    </row>
    <row r="61" spans="1:5" ht="12.75">
      <c r="A61" s="2" t="s">
        <v>39</v>
      </c>
      <c r="E61" s="7">
        <f>+I6</f>
        <v>357000000</v>
      </c>
    </row>
    <row r="62" spans="1:6" ht="12.75">
      <c r="A62" s="2" t="s">
        <v>40</v>
      </c>
      <c r="D62" s="6">
        <v>0.05</v>
      </c>
      <c r="E62" s="1">
        <f>D62*E5</f>
        <v>44270</v>
      </c>
      <c r="F62" s="2" t="s">
        <v>42</v>
      </c>
    </row>
    <row r="63" spans="1:6" ht="12.75">
      <c r="A63" s="2" t="s">
        <v>56</v>
      </c>
      <c r="E63" s="7">
        <f>E61/E62</f>
        <v>8064.151795798509</v>
      </c>
      <c r="F63" s="2" t="s">
        <v>41</v>
      </c>
    </row>
    <row r="64" spans="1:5" ht="12.75">
      <c r="A64" s="8" t="s">
        <v>55</v>
      </c>
      <c r="B64" s="8"/>
      <c r="C64" s="8"/>
      <c r="D64" s="8"/>
      <c r="E64" s="21">
        <f>E63/365</f>
        <v>22.09356656383153</v>
      </c>
    </row>
    <row r="65" spans="1:5" ht="12.75">
      <c r="A65" s="2"/>
      <c r="E65" s="18"/>
    </row>
    <row r="66" spans="1:6" ht="12.75">
      <c r="A66" s="2" t="str">
        <f>+A7</f>
        <v>Hours of full operation distributed over 24hrs per day</v>
      </c>
      <c r="B66" s="2"/>
      <c r="C66" s="2"/>
      <c r="E66" s="4">
        <v>10</v>
      </c>
      <c r="F66" s="2" t="s">
        <v>6</v>
      </c>
    </row>
    <row r="67" spans="1:6" ht="12.75">
      <c r="A67" s="2" t="s">
        <v>46</v>
      </c>
      <c r="B67" s="2"/>
      <c r="C67" s="2"/>
      <c r="E67" s="1">
        <f>+E66*30</f>
        <v>300</v>
      </c>
      <c r="F67" s="2" t="s">
        <v>45</v>
      </c>
    </row>
    <row r="68" spans="1:10" ht="12.75">
      <c r="A68" s="8" t="s">
        <v>44</v>
      </c>
      <c r="B68" s="8"/>
      <c r="C68" s="8"/>
      <c r="D68" s="8"/>
      <c r="E68" s="8">
        <f>E67*365</f>
        <v>109500</v>
      </c>
      <c r="F68" s="8" t="s">
        <v>45</v>
      </c>
      <c r="G68" s="8" t="s">
        <v>59</v>
      </c>
      <c r="H68" s="8"/>
      <c r="I68" s="8"/>
      <c r="J68" s="8"/>
    </row>
    <row r="70" spans="1:5" ht="12.75">
      <c r="A70" s="2" t="s">
        <v>47</v>
      </c>
      <c r="D70" s="18"/>
      <c r="E70" s="23">
        <v>2</v>
      </c>
    </row>
    <row r="71" spans="1:6" ht="12.75">
      <c r="A71" s="2" t="s">
        <v>49</v>
      </c>
      <c r="E71" s="1">
        <v>20</v>
      </c>
      <c r="F71" s="2" t="s">
        <v>48</v>
      </c>
    </row>
    <row r="72" spans="1:5" ht="12.75">
      <c r="A72" s="2" t="s">
        <v>50</v>
      </c>
      <c r="E72" s="7">
        <f>E68/E71*E70</f>
        <v>10950</v>
      </c>
    </row>
    <row r="74" spans="1:5" ht="12.75">
      <c r="A74" s="2" t="str">
        <f>A66</f>
        <v>Hours of full operation distributed over 24hrs per day</v>
      </c>
      <c r="E74" s="1">
        <v>10</v>
      </c>
    </row>
    <row r="75" spans="1:6" ht="12.75">
      <c r="A75" s="2" t="s">
        <v>78</v>
      </c>
      <c r="D75" s="18"/>
      <c r="E75" s="7">
        <v>1</v>
      </c>
      <c r="F75" s="2" t="s">
        <v>58</v>
      </c>
    </row>
    <row r="76" spans="1:5" ht="12.75">
      <c r="A76" s="2" t="s">
        <v>52</v>
      </c>
      <c r="D76" s="18"/>
      <c r="E76" s="7">
        <f>E75*E74*60</f>
        <v>600</v>
      </c>
    </row>
    <row r="77" spans="1:5" ht="12.75">
      <c r="A77" s="2" t="s">
        <v>51</v>
      </c>
      <c r="E77" s="7">
        <f>E76*365</f>
        <v>219000</v>
      </c>
    </row>
    <row r="78" spans="1:7" ht="12.75">
      <c r="A78" s="8" t="s">
        <v>53</v>
      </c>
      <c r="B78" s="8"/>
      <c r="C78" s="8"/>
      <c r="D78" s="8"/>
      <c r="E78" s="11">
        <f>E77*E22</f>
        <v>826415094.3396226</v>
      </c>
      <c r="G78" s="8" t="s">
        <v>54</v>
      </c>
    </row>
    <row r="79" ht="12.75">
      <c r="A79" s="2"/>
    </row>
    <row r="80" ht="12.75">
      <c r="A80" s="8" t="s">
        <v>60</v>
      </c>
    </row>
    <row r="81" ht="12.75">
      <c r="A81" s="8" t="s">
        <v>79</v>
      </c>
    </row>
  </sheetData>
  <mergeCells count="1">
    <mergeCell ref="M3:P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0</cp:lastModifiedBy>
  <dcterms:created xsi:type="dcterms:W3CDTF">2016-02-10T22:49:24Z</dcterms:created>
  <dcterms:modified xsi:type="dcterms:W3CDTF">2016-03-02T17:31:24Z</dcterms:modified>
  <cp:category/>
  <cp:version/>
  <cp:contentType/>
  <cp:contentStatus/>
</cp:coreProperties>
</file>